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<sst xmlns="http://schemas.openxmlformats.org/spreadsheetml/2006/main" count="29" uniqueCount="29">
  <si>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Annual interest rate:</t>
  </si>
  <si>
    <t>Payment</t>
  </si>
  <si>
    <t>Loan amount:</t>
  </si>
  <si>
    <t>Days</t>
  </si>
  <si>
    <t>Payoff 
Amount</t>
  </si>
  <si>
    <t>Your name:</t>
  </si>
  <si>
    <t>JOHNSON COUNTY COMMUNITY COLLEGE</t>
  </si>
  <si>
    <t>For instructional purposes only</t>
  </si>
  <si>
    <t>APPLYING LOAN PAYMENTS</t>
  </si>
  <si>
    <t>Method:</t>
  </si>
  <si>
    <t>Actuarial</t>
  </si>
  <si>
    <t>US Rule</t>
  </si>
  <si>
    <t>Charges</t>
  </si>
  <si>
    <t>US Rule: Ordinary</t>
  </si>
  <si>
    <t>US Rule: Exact</t>
  </si>
  <si>
    <t>May</t>
  </si>
  <si>
    <t>June</t>
  </si>
  <si>
    <t>July</t>
  </si>
  <si>
    <t>August</t>
  </si>
  <si>
    <t>January</t>
  </si>
  <si>
    <t>February</t>
  </si>
  <si>
    <t>March</t>
  </si>
  <si>
    <t>April</t>
  </si>
  <si>
    <t>September</t>
  </si>
  <si>
    <t>October</t>
  </si>
  <si>
    <t>November</t>
  </si>
  <si>
    <t>Day</t>
  </si>
  <si>
    <t>Loan Date:</t>
  </si>
  <si>
    <t>January 31,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</si>
</sst>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;;;"/>
    <numFmt numFmtId="167" formatCode="[$-409]dddd\,\ mmmm\ dd\,\ yyyy"/>
    <numFmt numFmtId="168" formatCode="0;\-0;;@\ 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 applyProtection="1">
      <alignment horizontal="right"/>
      <protection locked="0"/>
    </xf>
    <xf numFmtId="165" fontId="0" fillId="33" borderId="0" xfId="0" applyNumberFormat="1" applyFill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right"/>
    </xf>
    <xf numFmtId="166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right"/>
    </xf>
    <xf numFmtId="1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1" fillId="34" borderId="0" xfId="0" applyNumberFormat="1" applyFont="1" applyFill="1" applyAlignment="1">
      <alignment horizontal="right"/>
    </xf>
    <xf numFmtId="10" fontId="0" fillId="33" borderId="0" xfId="0" applyNumberFormat="1" applyFill="1" applyAlignment="1" applyProtection="1">
      <alignment/>
      <protection locked="0"/>
    </xf>
    <xf numFmtId="0" fontId="1" fillId="34" borderId="0" xfId="0" applyFont="1" applyFill="1" applyAlignment="1">
      <alignment horizontal="right" wrapText="1"/>
    </xf>
    <xf numFmtId="0" fontId="0" fillId="34" borderId="0" xfId="0" applyNumberFormat="1" applyFill="1" applyAlignment="1">
      <alignment/>
    </xf>
    <xf numFmtId="166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6" fontId="0" fillId="0" borderId="0" xfId="0" applyNumberFormat="1" applyAlignment="1">
      <alignment/>
    </xf>
    <xf numFmtId="1" fontId="0" fillId="33" borderId="0" xfId="0" applyNumberFormat="1" applyFill="1" applyAlignment="1" applyProtection="1">
      <alignment/>
      <protection locked="0"/>
    </xf>
    <xf numFmtId="15" fontId="0" fillId="34" borderId="0" xfId="0" applyNumberFormat="1" applyFont="1" applyFill="1" applyAlignment="1" quotePrefix="1">
      <alignment horizontal="righ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FFFFCC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2.57421875" style="0" customWidth="1"/>
    <col min="2" max="2" width="13.7109375" style="0" customWidth="1"/>
    <col min="3" max="3" width="4.28125" style="0" customWidth="1"/>
    <col min="4" max="4" width="16.7109375" style="0" customWidth="1"/>
    <col min="5" max="7" width="11.421875" style="0" customWidth="1"/>
    <col min="8" max="8" width="6.57421875" style="0" customWidth="1"/>
    <col min="9" max="9" width="11.421875" style="0" customWidth="1"/>
    <col min="10" max="10" width="3.140625" style="0" customWidth="1"/>
    <col min="11" max="11" width="3.421875" style="0" customWidth="1"/>
  </cols>
  <sheetData>
    <row r="1" spans="1:11" ht="12.75">
      <c r="A1" s="3"/>
      <c r="B1" s="6" t="s">
        <v>6</v>
      </c>
      <c r="C1" s="3"/>
      <c r="D1" s="3"/>
      <c r="E1" s="14"/>
      <c r="F1" s="14"/>
      <c r="G1" s="6" t="s">
        <v>7</v>
      </c>
      <c r="H1" s="6"/>
      <c r="I1" s="3"/>
      <c r="J1" s="3"/>
      <c r="K1" s="3"/>
    </row>
    <row r="2" spans="1:11" ht="12.75">
      <c r="A2" s="3"/>
      <c r="B2" s="6" t="s">
        <v>8</v>
      </c>
      <c r="C2" s="6"/>
      <c r="D2" s="3"/>
      <c r="E2" s="15" t="s">
        <v>10</v>
      </c>
      <c r="F2" s="15" t="s">
        <v>14</v>
      </c>
      <c r="G2" s="15" t="s">
        <v>13</v>
      </c>
      <c r="H2" s="15"/>
      <c r="I2" s="15" t="s">
        <v>11</v>
      </c>
      <c r="J2" s="3"/>
      <c r="K2" s="3"/>
    </row>
    <row r="3" spans="1:11" ht="12.75">
      <c r="A3" s="3"/>
      <c r="B3" s="6"/>
      <c r="C3" s="6"/>
      <c r="D3" s="3"/>
      <c r="E3" s="15"/>
      <c r="F3" s="15"/>
      <c r="G3" s="15"/>
      <c r="H3" s="15"/>
      <c r="I3" s="15"/>
      <c r="J3" s="3"/>
      <c r="K3" s="3"/>
    </row>
    <row r="4" spans="1:11" ht="12.75">
      <c r="A4" s="3"/>
      <c r="B4" s="3"/>
      <c r="C4" s="16" t="s">
        <v>27</v>
      </c>
      <c r="D4" s="19" t="s">
        <v>28</v>
      </c>
      <c r="E4" s="3"/>
      <c r="F4" s="7" t="s">
        <v>5</v>
      </c>
      <c r="G4" s="20"/>
      <c r="H4" s="20"/>
      <c r="I4" s="21"/>
      <c r="J4" s="3"/>
      <c r="K4" s="3"/>
    </row>
    <row r="5" spans="1:11" ht="12.75">
      <c r="A5" s="3"/>
      <c r="B5" s="3"/>
      <c r="C5" s="7" t="s">
        <v>2</v>
      </c>
      <c r="D5" s="2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7" t="s">
        <v>0</v>
      </c>
      <c r="D6" s="12"/>
      <c r="E6" s="3"/>
      <c r="F6" s="3"/>
      <c r="G6" s="3"/>
      <c r="H6" s="3"/>
      <c r="I6" s="3"/>
      <c r="J6" s="3"/>
      <c r="K6" s="3"/>
    </row>
    <row r="7" spans="1:13" ht="12.75">
      <c r="A7" s="3"/>
      <c r="B7" s="3"/>
      <c r="C7" s="16" t="s">
        <v>9</v>
      </c>
      <c r="D7" s="1"/>
      <c r="E7" s="5">
        <f>IF(D7=E2,12,IF(D7=F2,365,IF(D7=G2,360,"")))</f>
      </c>
      <c r="F7" s="5">
        <f>IF(ISBLANK(C17),IF(ISBLANK(C16),IF(ISBLANK(C15),IF(ISBLANK(C14),IF(ISBLANK(C13),IF(ISBLANK(C12),IF(ISBLANK(C11),1,2),3),4),5),6),7),8)</f>
        <v>1</v>
      </c>
      <c r="G7" s="15">
        <f>IF(ISBLANK(C20),IF(ISBLANK(C19),IF(ISBLANK(C18),F7,9),10),11)</f>
        <v>1</v>
      </c>
      <c r="H7" s="15"/>
      <c r="I7" s="3"/>
      <c r="J7" s="3"/>
      <c r="K7" s="3"/>
      <c r="M7" s="17"/>
    </row>
    <row r="8" spans="1:11" ht="12.75">
      <c r="A8" s="3"/>
      <c r="B8" s="3"/>
      <c r="C8" s="3"/>
      <c r="D8" s="5">
        <f>COUNTA(D5:D7)</f>
        <v>0</v>
      </c>
      <c r="E8" s="3"/>
      <c r="F8" s="3"/>
      <c r="G8" s="3"/>
      <c r="H8" s="3"/>
      <c r="I8" s="3"/>
      <c r="J8" s="3"/>
      <c r="K8" s="3"/>
    </row>
    <row r="9" spans="1:11" ht="25.5">
      <c r="A9" s="3"/>
      <c r="B9" s="4"/>
      <c r="C9" s="4" t="s">
        <v>26</v>
      </c>
      <c r="D9" s="4" t="s">
        <v>12</v>
      </c>
      <c r="E9" s="4" t="s">
        <v>1</v>
      </c>
      <c r="F9" s="13" t="str">
        <f>IF(D7=E2,"Balance","Principal Balance")</f>
        <v>Principal Balance</v>
      </c>
      <c r="G9" s="13" t="str">
        <f>IF(D7=E2,"","Escrow (Unpaid Int)")</f>
        <v>Escrow (Unpaid Int)</v>
      </c>
      <c r="H9" s="13"/>
      <c r="I9" s="13" t="s">
        <v>4</v>
      </c>
      <c r="J9" s="13"/>
      <c r="K9" s="11" t="s">
        <v>3</v>
      </c>
    </row>
    <row r="10" spans="1:11" ht="12.75">
      <c r="A10" s="3"/>
      <c r="B10" s="16" t="s">
        <v>19</v>
      </c>
      <c r="C10" s="10">
        <v>31</v>
      </c>
      <c r="D10" s="9">
        <f>IF(ISBLANK(D5),"",D5)</f>
      </c>
      <c r="E10" s="9"/>
      <c r="F10" s="9">
        <f>D10</f>
      </c>
      <c r="G10" s="9"/>
      <c r="H10" s="9"/>
      <c r="I10" s="9">
        <f>F10</f>
      </c>
      <c r="J10" s="5">
        <f>DATE(2013,1,C10)</f>
        <v>41305</v>
      </c>
      <c r="K10" s="5"/>
    </row>
    <row r="11" spans="1:11" ht="12.75">
      <c r="A11" s="3"/>
      <c r="B11" s="16" t="s">
        <v>20</v>
      </c>
      <c r="C11" s="18"/>
      <c r="D11" s="9">
        <f>IF(OR($D$8&lt;3,$G$7&lt;2),"",ROUND(F10*$D$6*IF($D$7=$E$2,1/12,IF($D$7=$F$2,K11/365,IF($D$7=$G$2,K11/360,""))),2))</f>
      </c>
      <c r="E11" s="2"/>
      <c r="F11" s="9">
        <f>IF(D11="","",IF($D$7=$E$2,F10+D11-E11,MIN(F10+G10+D11-E11,F10)))</f>
      </c>
      <c r="G11" s="9">
        <f>IF(OR(D11="",$D$7=$E$2),"",IF(G10+D11-E11&lt;0,0,G10+D11-E11))</f>
      </c>
      <c r="H11" s="9"/>
      <c r="I11" s="9">
        <f>IF(D11="","",IF(G11="",F11+E11,F11+G11+E11))</f>
      </c>
      <c r="J11" s="5">
        <f>IF(ISBLANK(C11),DATE(2013,2,28),DATE(2013,2,C11))</f>
        <v>41333</v>
      </c>
      <c r="K11" s="5">
        <f>J11-J10</f>
        <v>28</v>
      </c>
    </row>
    <row r="12" spans="1:11" ht="12.75">
      <c r="A12" s="3"/>
      <c r="B12" s="16" t="s">
        <v>21</v>
      </c>
      <c r="C12" s="18"/>
      <c r="D12" s="9">
        <f>IF(OR($D$8&lt;3,$G$7&lt;3),"",ROUND(F11*$D$6*IF($D$7=$E$2,1/12,IF($D$7=$F$2,K12/365,IF($D$7=$G$2,K12/360,""))),2))</f>
      </c>
      <c r="E12" s="2"/>
      <c r="F12" s="9">
        <f aca="true" t="shared" si="0" ref="F12:F20">IF(D12="","",IF($D$7=$E$2,F11+D12-E12,MIN(F11+G11+D12-E12,F11)))</f>
      </c>
      <c r="G12" s="9">
        <f aca="true" t="shared" si="1" ref="G12:G20">IF(OR(D12="",$D$7=$E$2),"",IF(G11+D12-E12&lt;0,0,G11+D12-E12))</f>
      </c>
      <c r="H12" s="9"/>
      <c r="I12" s="9">
        <f aca="true" t="shared" si="2" ref="I12:I20">IF(D12="","",IF(G12="",F12+E12,F12+G12+E12))</f>
      </c>
      <c r="J12" s="5">
        <f>IF(ISBLANK(C12),DATE(2013,3,31),DATE(2013,3,C12))</f>
        <v>41364</v>
      </c>
      <c r="K12" s="5">
        <f aca="true" t="shared" si="3" ref="K12:K20">J12-J11</f>
        <v>31</v>
      </c>
    </row>
    <row r="13" spans="1:11" ht="12.75">
      <c r="A13" s="3"/>
      <c r="B13" s="16" t="s">
        <v>22</v>
      </c>
      <c r="C13" s="18"/>
      <c r="D13" s="9">
        <f>IF(OR($D$8&lt;3,$G$7&lt;4),"",ROUND(F12*$D$6*IF($D$7=$E$2,1/12,IF($D$7=$F$2,K13/365,IF($D$7=$G$2,K13/360,""))),2))</f>
      </c>
      <c r="E13" s="2"/>
      <c r="F13" s="9">
        <f t="shared" si="0"/>
      </c>
      <c r="G13" s="9">
        <f t="shared" si="1"/>
      </c>
      <c r="H13" s="9"/>
      <c r="I13" s="9">
        <f t="shared" si="2"/>
      </c>
      <c r="J13" s="5">
        <f>IF(ISBLANK(C13),DATE(2013,4,30),DATE(2013,4,C13))</f>
        <v>41394</v>
      </c>
      <c r="K13" s="5">
        <f t="shared" si="3"/>
        <v>30</v>
      </c>
    </row>
    <row r="14" spans="1:11" ht="12.75">
      <c r="A14" s="3"/>
      <c r="B14" s="16" t="s">
        <v>15</v>
      </c>
      <c r="C14" s="18"/>
      <c r="D14" s="9">
        <f>IF(OR($D$8&lt;3,$G$7&lt;5),"",ROUND(F13*$D$6*IF($D$7=$E$2,1/12,IF($D$7=$F$2,K14/365,IF($D$7=$G$2,K14/360,""))),2))</f>
      </c>
      <c r="E14" s="2"/>
      <c r="F14" s="9">
        <f t="shared" si="0"/>
      </c>
      <c r="G14" s="9">
        <f t="shared" si="1"/>
      </c>
      <c r="H14" s="9"/>
      <c r="I14" s="9">
        <f t="shared" si="2"/>
      </c>
      <c r="J14" s="5">
        <f>IF(ISBLANK(C14),DATE(2013,5,31),DATE(2013,5,C14))</f>
        <v>41425</v>
      </c>
      <c r="K14" s="5">
        <f t="shared" si="3"/>
        <v>31</v>
      </c>
    </row>
    <row r="15" spans="1:11" ht="12.75">
      <c r="A15" s="3"/>
      <c r="B15" s="16" t="s">
        <v>16</v>
      </c>
      <c r="C15" s="18"/>
      <c r="D15" s="9">
        <f>IF(OR($D$8&lt;3,$G$7&lt;6),"",ROUND(F14*$D$6*IF($D$7=$E$2,1/12,IF($D$7=$F$2,K15/365,IF($D$7=$G$2,K15/360,""))),2))</f>
      </c>
      <c r="E15" s="2"/>
      <c r="F15" s="9">
        <f t="shared" si="0"/>
      </c>
      <c r="G15" s="9">
        <f t="shared" si="1"/>
      </c>
      <c r="H15" s="9"/>
      <c r="I15" s="9">
        <f t="shared" si="2"/>
      </c>
      <c r="J15" s="5">
        <f>IF(ISBLANK(C15),DATE(2013,6,30),DATE(2013,6,C15))</f>
        <v>41455</v>
      </c>
      <c r="K15" s="5">
        <f t="shared" si="3"/>
        <v>30</v>
      </c>
    </row>
    <row r="16" spans="1:11" ht="12.75">
      <c r="A16" s="3"/>
      <c r="B16" s="16" t="s">
        <v>17</v>
      </c>
      <c r="C16" s="18"/>
      <c r="D16" s="9">
        <f>IF(OR($D$8&lt;3,$G$7&lt;7),"",ROUND(F15*$D$6*IF($D$7=$E$2,1/12,IF($D$7=$F$2,K16/365,IF($D$7=$G$2,K16/360,""))),2))</f>
      </c>
      <c r="E16" s="2"/>
      <c r="F16" s="9">
        <f t="shared" si="0"/>
      </c>
      <c r="G16" s="9">
        <f t="shared" si="1"/>
      </c>
      <c r="H16" s="9"/>
      <c r="I16" s="9">
        <f t="shared" si="2"/>
      </c>
      <c r="J16" s="5">
        <f>IF(ISBLANK(C16),DATE(2013,7,31),DATE(2013,7,C16))</f>
        <v>41486</v>
      </c>
      <c r="K16" s="5">
        <f t="shared" si="3"/>
        <v>31</v>
      </c>
    </row>
    <row r="17" spans="1:11" ht="12.75">
      <c r="A17" s="3"/>
      <c r="B17" s="16" t="s">
        <v>18</v>
      </c>
      <c r="C17" s="18"/>
      <c r="D17" s="9">
        <f>IF(OR($D$8&lt;3,$G$7&lt;8),"",ROUND(F16*$D$6*IF($D$7=$E$2,1/12,IF($D$7=$F$2,K17/365,IF($D$7=$G$2,K17/360,""))),2))</f>
      </c>
      <c r="E17" s="2"/>
      <c r="F17" s="9">
        <f t="shared" si="0"/>
      </c>
      <c r="G17" s="9">
        <f t="shared" si="1"/>
      </c>
      <c r="H17" s="9"/>
      <c r="I17" s="9">
        <f t="shared" si="2"/>
      </c>
      <c r="J17" s="5">
        <f>IF(ISBLANK(C17),DATE(2013,8,31),DATE(2013,8,C17))</f>
        <v>41517</v>
      </c>
      <c r="K17" s="5">
        <f t="shared" si="3"/>
        <v>31</v>
      </c>
    </row>
    <row r="18" spans="1:11" ht="12.75">
      <c r="A18" s="3"/>
      <c r="B18" s="16" t="s">
        <v>23</v>
      </c>
      <c r="C18" s="18"/>
      <c r="D18" s="9">
        <f>IF(OR($D$8&lt;3,$G$7&lt;9),"",ROUND(F17*$D$6*IF($D$7=$E$2,1/12,IF($D$7=$F$2,K18/365,IF($D$7=$G$2,K18/360,""))),2))</f>
      </c>
      <c r="E18" s="2"/>
      <c r="F18" s="9">
        <f t="shared" si="0"/>
      </c>
      <c r="G18" s="9">
        <f t="shared" si="1"/>
      </c>
      <c r="H18" s="9"/>
      <c r="I18" s="9">
        <f t="shared" si="2"/>
      </c>
      <c r="J18" s="5">
        <f>IF(ISBLANK(C18),DATE(2013,9,30),DATE(2013,9,C18))</f>
        <v>41547</v>
      </c>
      <c r="K18" s="5">
        <f t="shared" si="3"/>
        <v>30</v>
      </c>
    </row>
    <row r="19" spans="1:11" ht="12.75">
      <c r="A19" s="3"/>
      <c r="B19" s="16" t="s">
        <v>24</v>
      </c>
      <c r="C19" s="18"/>
      <c r="D19" s="9">
        <f>IF(OR($D$8&lt;3,$G$7&lt;10),"",ROUND(F18*$D$6*IF($D$7=$E$2,1/12,IF($D$7=$F$2,K19/365,IF($D$7=$G$2,K19/360,""))),2))</f>
      </c>
      <c r="E19" s="2"/>
      <c r="F19" s="9">
        <f t="shared" si="0"/>
      </c>
      <c r="G19" s="9">
        <f t="shared" si="1"/>
      </c>
      <c r="H19" s="9"/>
      <c r="I19" s="9">
        <f t="shared" si="2"/>
      </c>
      <c r="J19" s="5">
        <f>IF(ISBLANK(C19),DATE(2013,10,31),DATE(2013,10,C19))</f>
        <v>41578</v>
      </c>
      <c r="K19" s="5">
        <f t="shared" si="3"/>
        <v>31</v>
      </c>
    </row>
    <row r="20" spans="1:11" ht="12.75">
      <c r="A20" s="3"/>
      <c r="B20" s="16" t="s">
        <v>25</v>
      </c>
      <c r="C20" s="18"/>
      <c r="D20" s="9">
        <f>IF(OR($D$8&lt;3,$G$7&lt;11),"",ROUND(F19*$D$6*IF($D$7=$E$2,1/12,IF($D$7=$F$2,K20/365,IF($D$7=$G$2,K20/360,""))),2))</f>
      </c>
      <c r="E20" s="2"/>
      <c r="F20" s="9">
        <f t="shared" si="0"/>
      </c>
      <c r="G20" s="9">
        <f t="shared" si="1"/>
      </c>
      <c r="H20" s="9"/>
      <c r="I20" s="9">
        <f t="shared" si="2"/>
      </c>
      <c r="J20" s="5">
        <f>IF(ISBLANK(C20),DATE(2013,11,30),DATE(2013,11,C20))</f>
        <v>41608</v>
      </c>
      <c r="K20" s="5">
        <f t="shared" si="3"/>
        <v>30</v>
      </c>
    </row>
    <row r="21" spans="1:11" ht="12.75">
      <c r="A21" s="3"/>
      <c r="B21" s="3"/>
      <c r="C21" s="8"/>
      <c r="D21" s="9"/>
      <c r="E21" s="9"/>
      <c r="F21" s="9"/>
      <c r="G21" s="9"/>
      <c r="H21" s="9"/>
      <c r="I21" s="9"/>
      <c r="J21" s="9"/>
      <c r="K21" s="10"/>
    </row>
  </sheetData>
  <sheetProtection password="CCC2" sheet="1" objects="1" scenarios="1"/>
  <mergeCells count="1">
    <mergeCell ref="G4:I4"/>
  </mergeCells>
  <conditionalFormatting sqref="G11:H20">
    <cfRule type="cellIs" priority="1" dxfId="0" operator="equal" stopIfTrue="1">
      <formula>0</formula>
    </cfRule>
  </conditionalFormatting>
  <dataValidations count="4">
    <dataValidation type="list" showInputMessage="1" showErrorMessage="1" errorTitle="Data Entry Error" error="Select Cancel, then choose from the drop-down menu." sqref="D7">
      <formula1>$E$2:$G$2</formula1>
    </dataValidation>
    <dataValidation type="whole" allowBlank="1" showInputMessage="1" showErrorMessage="1" sqref="C11">
      <formula1>1</formula1>
      <formula2>28</formula2>
    </dataValidation>
    <dataValidation type="whole" allowBlank="1" showInputMessage="1" showErrorMessage="1" sqref="C12 C14 C16:C17 C19">
      <formula1>1</formula1>
      <formula2>31</formula2>
    </dataValidation>
    <dataValidation type="whole" allowBlank="1" showInputMessage="1" showErrorMessage="1" sqref="C13 C15 C18 C20">
      <formula1>1</formula1>
      <formula2>30</formula2>
    </dataValidation>
  </dataValidation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JCCC</dc:creator>
  <cp:keywords/>
  <dc:description/>
  <cp:lastModifiedBy>ocsadmin</cp:lastModifiedBy>
  <dcterms:created xsi:type="dcterms:W3CDTF">2002-02-19T20:34:39Z</dcterms:created>
  <dcterms:modified xsi:type="dcterms:W3CDTF">2012-08-15T15:55:55Z</dcterms:modified>
  <cp:category/>
  <cp:version/>
  <cp:contentType/>
  <cp:contentStatus/>
</cp:coreProperties>
</file>